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xr:revisionPtr revIDLastSave="0" documentId="13_ncr:1_{4047D8EE-FF28-486A-960E-8538B1602C5B}" xr6:coauthVersionLast="47" xr6:coauthVersionMax="47" xr10:uidLastSave="{00000000-0000-0000-0000-000000000000}"/>
  <bookViews>
    <workbookView xWindow="-120" yWindow="-120" windowWidth="20730" windowHeight="11760" activeTab="2" xr2:uid="{7ADF2CFC-40E8-4478-8FC5-FEFD8536AD91}"/>
  </bookViews>
  <sheets>
    <sheet name="Dashboard" sheetId="3" r:id="rId1"/>
    <sheet name="Controle Mensal" sheetId="1" r:id="rId2"/>
    <sheet name="Investimentos 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H28" i="1"/>
  <c r="B28" i="1"/>
  <c r="Q11" i="2"/>
  <c r="R11" i="2" s="1"/>
  <c r="Q8" i="2"/>
  <c r="R8" i="2" s="1"/>
  <c r="Q7" i="2"/>
  <c r="R7" i="2" s="1"/>
  <c r="Q13" i="2"/>
  <c r="R13" i="2" s="1"/>
  <c r="Q12" i="2"/>
  <c r="R12" i="2" s="1"/>
  <c r="Q10" i="2"/>
  <c r="R10" i="2" s="1"/>
  <c r="Q9" i="2"/>
  <c r="R9" i="2" s="1"/>
  <c r="Q6" i="2"/>
  <c r="R6" i="2" s="1"/>
  <c r="M3" i="2"/>
  <c r="M4" i="2"/>
  <c r="M5" i="2"/>
  <c r="M6" i="2"/>
  <c r="M7" i="2"/>
  <c r="M8" i="2"/>
  <c r="M9" i="2"/>
  <c r="M2" i="2"/>
  <c r="I9" i="2"/>
  <c r="K26" i="1"/>
  <c r="I26" i="1"/>
  <c r="G26" i="1"/>
  <c r="E26" i="1"/>
  <c r="D28" i="1" s="1"/>
  <c r="K12" i="1"/>
  <c r="I12" i="1"/>
  <c r="G12" i="1"/>
  <c r="B11" i="1"/>
  <c r="C4" i="3"/>
  <c r="C26" i="1"/>
  <c r="E12" i="1"/>
  <c r="C12" i="1"/>
  <c r="B4" i="3"/>
  <c r="I3" i="2"/>
  <c r="I4" i="2"/>
  <c r="I5" i="2"/>
  <c r="I6" i="2"/>
  <c r="I7" i="2"/>
  <c r="I8" i="2"/>
  <c r="I2" i="2"/>
  <c r="B26" i="1"/>
  <c r="J11" i="1"/>
  <c r="H11" i="1"/>
  <c r="F11" i="1"/>
  <c r="D11" i="1"/>
  <c r="F28" i="1" l="1"/>
  <c r="M10" i="2"/>
  <c r="I10" i="2"/>
  <c r="D4" i="3"/>
  <c r="N3" i="2" l="1"/>
  <c r="N4" i="2"/>
  <c r="N5" i="2"/>
  <c r="N6" i="2"/>
  <c r="N7" i="2"/>
  <c r="N8" i="2"/>
  <c r="N9" i="2"/>
  <c r="N2" i="2"/>
  <c r="J9" i="2"/>
  <c r="E4" i="3"/>
  <c r="J5" i="2"/>
  <c r="J2" i="2"/>
  <c r="J3" i="2"/>
  <c r="J6" i="2"/>
  <c r="J8" i="2"/>
  <c r="J4" i="2"/>
  <c r="J7" i="2"/>
</calcChain>
</file>

<file path=xl/sharedStrings.xml><?xml version="1.0" encoding="utf-8"?>
<sst xmlns="http://schemas.openxmlformats.org/spreadsheetml/2006/main" count="135" uniqueCount="81">
  <si>
    <t>Categoria / Origem</t>
  </si>
  <si>
    <t>Renda Esperada</t>
  </si>
  <si>
    <t>Total Rendas Recebidas</t>
  </si>
  <si>
    <t>Categoria/Descrição</t>
  </si>
  <si>
    <t>Despesas Esperadas</t>
  </si>
  <si>
    <t>RECEITAS</t>
  </si>
  <si>
    <t>Pets</t>
  </si>
  <si>
    <t>Internet</t>
  </si>
  <si>
    <t>Total Gastos Esperados</t>
  </si>
  <si>
    <t>Ativo/Instituição</t>
  </si>
  <si>
    <t>Categoria/classe</t>
  </si>
  <si>
    <t>Renda Fixa</t>
  </si>
  <si>
    <t>Tesouro SELIC</t>
  </si>
  <si>
    <t>Caixinha Nubank</t>
  </si>
  <si>
    <t>BB Seguridade (BBSE3)</t>
  </si>
  <si>
    <t>Cx Seguridade (CXSE3)</t>
  </si>
  <si>
    <t>Itausa (ITSA4)</t>
  </si>
  <si>
    <t>Taesa (TAEE11)</t>
  </si>
  <si>
    <t>Banco do Brasil (BBAS3)</t>
  </si>
  <si>
    <t>Itaú (ITUB4)</t>
  </si>
  <si>
    <t>Ações B3</t>
  </si>
  <si>
    <t>Apple (AAPL)</t>
  </si>
  <si>
    <t>Ações Est.</t>
  </si>
  <si>
    <t>Nvidia (NVDA)</t>
  </si>
  <si>
    <t>Microsoft (MSFT)</t>
  </si>
  <si>
    <t>Google (GOOGL)</t>
  </si>
  <si>
    <t>Coca-Cola (KO)</t>
  </si>
  <si>
    <t>ETF Nacional</t>
  </si>
  <si>
    <t>Etf Nac.</t>
  </si>
  <si>
    <t>ETF Estrangeiro</t>
  </si>
  <si>
    <t>Etf Est.</t>
  </si>
  <si>
    <t>HGLG11</t>
  </si>
  <si>
    <t>MXRF11</t>
  </si>
  <si>
    <t>Fiis</t>
  </si>
  <si>
    <t>Fundos Imobiliários Americanos</t>
  </si>
  <si>
    <t>Reits</t>
  </si>
  <si>
    <t xml:space="preserve">Res. Emergência </t>
  </si>
  <si>
    <t>Classe</t>
  </si>
  <si>
    <t>Total Investido</t>
  </si>
  <si>
    <t>Valor Investido</t>
  </si>
  <si>
    <t>(% da carteira)</t>
  </si>
  <si>
    <t>Total</t>
  </si>
  <si>
    <t xml:space="preserve"> Agosto</t>
  </si>
  <si>
    <t xml:space="preserve"> Setembro</t>
  </si>
  <si>
    <t xml:space="preserve"> Outubro</t>
  </si>
  <si>
    <t xml:space="preserve"> Novembro</t>
  </si>
  <si>
    <t xml:space="preserve"> Dezembro</t>
  </si>
  <si>
    <t>Dashboard Financeiro</t>
  </si>
  <si>
    <t>Mês de Análise</t>
  </si>
  <si>
    <t>Receita do Mês</t>
  </si>
  <si>
    <t>Gastos do Mês</t>
  </si>
  <si>
    <t>Saldo do Mês</t>
  </si>
  <si>
    <t>Água</t>
  </si>
  <si>
    <t>Luz</t>
  </si>
  <si>
    <t>Mercado</t>
  </si>
  <si>
    <t>Lazer</t>
  </si>
  <si>
    <t>Telefone</t>
  </si>
  <si>
    <t>Netflix</t>
  </si>
  <si>
    <t>Cartão de Credito 1</t>
  </si>
  <si>
    <t>Cartão de Crédito 2</t>
  </si>
  <si>
    <t>Renda Extra 1</t>
  </si>
  <si>
    <t>Renda Extra 2</t>
  </si>
  <si>
    <t>SALDO DO MÊS PARA INVESTIMENTOS</t>
  </si>
  <si>
    <t>Bitcoin</t>
  </si>
  <si>
    <t>Etherium</t>
  </si>
  <si>
    <t>Solana</t>
  </si>
  <si>
    <t>Criptomoedas</t>
  </si>
  <si>
    <t>ETF SP&amp;500</t>
  </si>
  <si>
    <t>SELIC</t>
  </si>
  <si>
    <t>CDB NUBANK</t>
  </si>
  <si>
    <t>Selecione o Mês</t>
  </si>
  <si>
    <t>Outubro</t>
  </si>
  <si>
    <t>Rebalanceamento de Carteira</t>
  </si>
  <si>
    <t>Selecione seu Perfil de Investidor</t>
  </si>
  <si>
    <t>Insira o Valor de Investimento Abaixo</t>
  </si>
  <si>
    <t>Meta %</t>
  </si>
  <si>
    <t>Valor Sugerido</t>
  </si>
  <si>
    <t>Conservador</t>
  </si>
  <si>
    <t>Total de Renda Esperada</t>
  </si>
  <si>
    <t>Salário Emprego</t>
  </si>
  <si>
    <t>Ação do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</si>
</sst>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8" tint="0.79998168889431442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5" tint="-0.499984740745262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44" fontId="0" fillId="0" borderId="0" xfId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44" fontId="0" fillId="0" borderId="1" xfId="1" applyFont="1" applyBorder="1" applyAlignment="1">
      <alignment horizontal="center"/>
    </xf>
    <xf numFmtId="17" fontId="0" fillId="0" borderId="1" xfId="0" applyNumberFormat="1" applyBorder="1"/>
    <xf numFmtId="0" fontId="0" fillId="5" borderId="0" xfId="0" applyFill="1"/>
    <xf numFmtId="44" fontId="0" fillId="5" borderId="0" xfId="1" applyFont="1" applyFill="1"/>
    <xf numFmtId="44" fontId="0" fillId="0" borderId="0" xfId="0" applyNumberFormat="1"/>
    <xf numFmtId="9" fontId="0" fillId="0" borderId="0" xfId="2" applyFont="1"/>
    <xf numFmtId="0" fontId="5" fillId="6" borderId="0" xfId="0" applyFont="1" applyFill="1" applyAlignment="1">
      <alignment horizontal="center"/>
    </xf>
    <xf numFmtId="44" fontId="6" fillId="6" borderId="0" xfId="1" applyFont="1" applyFill="1"/>
    <xf numFmtId="0" fontId="7" fillId="2" borderId="0" xfId="0" applyFont="1" applyFill="1" applyAlignment="1">
      <alignment horizontal="center"/>
    </xf>
    <xf numFmtId="44" fontId="8" fillId="2" borderId="0" xfId="1" applyFont="1" applyFill="1"/>
    <xf numFmtId="0" fontId="9" fillId="3" borderId="0" xfId="0" applyFont="1" applyFill="1" applyAlignment="1">
      <alignment horizontal="center"/>
    </xf>
    <xf numFmtId="44" fontId="10" fillId="3" borderId="0" xfId="1" applyFont="1" applyFill="1"/>
    <xf numFmtId="0" fontId="11" fillId="9" borderId="0" xfId="0" applyFont="1" applyFill="1" applyAlignment="1">
      <alignment horizontal="center"/>
    </xf>
    <xf numFmtId="44" fontId="12" fillId="9" borderId="0" xfId="1" applyFont="1" applyFill="1"/>
    <xf numFmtId="0" fontId="14" fillId="10" borderId="0" xfId="0" applyFont="1" applyFill="1"/>
    <xf numFmtId="0" fontId="0" fillId="11" borderId="0" xfId="0" applyFill="1" applyAlignment="1">
      <alignment horizontal="center"/>
    </xf>
    <xf numFmtId="17" fontId="2" fillId="11" borderId="1" xfId="0" applyNumberFormat="1" applyFont="1" applyFill="1" applyBorder="1" applyAlignment="1">
      <alignment horizontal="center"/>
    </xf>
    <xf numFmtId="0" fontId="13" fillId="10" borderId="0" xfId="0" applyFont="1" applyFill="1" applyAlignment="1">
      <alignment horizontal="left"/>
    </xf>
    <xf numFmtId="0" fontId="15" fillId="12" borderId="2" xfId="0" applyFont="1" applyFill="1" applyBorder="1"/>
    <xf numFmtId="0" fontId="0" fillId="13" borderId="0" xfId="0" applyFill="1"/>
    <xf numFmtId="0" fontId="0" fillId="0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4" fontId="0" fillId="0" borderId="0" xfId="1" applyFont="1" applyFill="1" applyBorder="1"/>
    <xf numFmtId="10" fontId="0" fillId="0" borderId="0" xfId="2" applyNumberFormat="1" applyFont="1"/>
    <xf numFmtId="0" fontId="0" fillId="2" borderId="0" xfId="0" applyFill="1"/>
    <xf numFmtId="0" fontId="16" fillId="14" borderId="0" xfId="0" applyFont="1" applyFill="1" applyAlignment="1">
      <alignment horizontal="center"/>
    </xf>
    <xf numFmtId="0" fontId="17" fillId="15" borderId="0" xfId="0" applyFont="1" applyFill="1" applyAlignment="1">
      <alignment horizontal="center"/>
    </xf>
    <xf numFmtId="0" fontId="0" fillId="0" borderId="0" xfId="0" applyAlignment="1">
      <alignment horizontal="left"/>
    </xf>
    <xf numFmtId="44" fontId="0" fillId="2" borderId="0" xfId="1" applyFont="1" applyFill="1" applyAlignment="1">
      <alignment horizontal="left"/>
    </xf>
    <xf numFmtId="0" fontId="0" fillId="17" borderId="0" xfId="0" applyFont="1" applyFill="1" applyAlignment="1">
      <alignment horizontal="left"/>
    </xf>
    <xf numFmtId="0" fontId="0" fillId="16" borderId="0" xfId="0" applyFont="1" applyFill="1" applyAlignment="1">
      <alignment horizontal="center"/>
    </xf>
    <xf numFmtId="44" fontId="0" fillId="5" borderId="1" xfId="1" applyFont="1" applyFill="1" applyBorder="1"/>
    <xf numFmtId="44" fontId="0" fillId="2" borderId="1" xfId="1" applyFont="1" applyFill="1" applyBorder="1"/>
    <xf numFmtId="44" fontId="0" fillId="13" borderId="1" xfId="1" applyFont="1" applyFill="1" applyBorder="1"/>
    <xf numFmtId="44" fontId="0" fillId="7" borderId="1" xfId="1" applyFont="1" applyFill="1" applyBorder="1"/>
    <xf numFmtId="44" fontId="0" fillId="8" borderId="1" xfId="1" applyFont="1" applyFill="1" applyBorder="1"/>
    <xf numFmtId="44" fontId="0" fillId="13" borderId="4" xfId="1" applyFont="1" applyFill="1" applyBorder="1"/>
    <xf numFmtId="44" fontId="15" fillId="12" borderId="1" xfId="0" applyNumberFormat="1" applyFont="1" applyFill="1" applyBorder="1"/>
    <xf numFmtId="44" fontId="0" fillId="18" borderId="1" xfId="1" applyFont="1" applyFill="1" applyBorder="1"/>
    <xf numFmtId="0" fontId="0" fillId="18" borderId="1" xfId="0" applyFill="1" applyBorder="1"/>
    <xf numFmtId="0" fontId="0" fillId="3" borderId="1" xfId="0" applyFill="1" applyBorder="1" applyAlignment="1">
      <alignment horizontal="center"/>
    </xf>
    <xf numFmtId="0" fontId="0" fillId="13" borderId="1" xfId="0" applyFill="1" applyBorder="1"/>
    <xf numFmtId="0" fontId="0" fillId="6" borderId="0" xfId="0" applyFill="1"/>
    <xf numFmtId="44" fontId="3" fillId="12" borderId="0" xfId="0" applyNumberFormat="1" applyFont="1" applyFill="1"/>
    <xf numFmtId="0" fontId="0" fillId="13" borderId="2" xfId="0" applyFill="1" applyBorder="1"/>
    <xf numFmtId="0" fontId="0" fillId="13" borderId="5" xfId="0" applyFill="1" applyBorder="1"/>
    <xf numFmtId="0" fontId="0" fillId="13" borderId="3" xfId="0" applyFill="1" applyBorder="1"/>
    <xf numFmtId="17" fontId="0" fillId="4" borderId="1" xfId="0" applyNumberFormat="1" applyFill="1" applyBorder="1"/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colors>
    <mruColors>
      <color rgb="FFFFFF99"/>
      <color rgb="FFFF5050"/>
      <color rgb="FFFF7C80"/>
      <color rgb="FFFFCCFF"/>
      <color rgb="FFFF00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Receitas x Gastos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8D-4D36-ABEB-EDB5D6848DB8}"/>
              </c:ext>
            </c:extLst>
          </c:dPt>
          <c:cat>
            <c:strRef>
              <c:f>Dashboard!$B$3:$C$3</c:f>
              <c:strCache>
                <c:ptCount val="2"/>
                <c:pt idx="0">
                  <c:v>Receita do Mês</c:v>
                </c:pt>
                <c:pt idx="1">
                  <c:v>Gastos do Mês</c:v>
                </c:pt>
              </c:strCache>
            </c:strRef>
          </c:cat>
          <c:val>
            <c:numRef>
              <c:f>Dashboard!$B$4:$C$4</c:f>
              <c:numCache>
                <c:formatCode>_("R$"* #,##0.00_);_("R$"* \(#,##0.00\);_("R$"* "-"??_);_(@_)</c:formatCode>
                <c:ptCount val="2"/>
                <c:pt idx="0">
                  <c:v>5400</c:v>
                </c:pt>
                <c:pt idx="1">
                  <c:v>2545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8D-4D36-ABEB-EDB5D6848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6012639"/>
        <c:axId val="1806013119"/>
      </c:barChart>
      <c:catAx>
        <c:axId val="1806012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06013119"/>
        <c:crosses val="autoZero"/>
        <c:auto val="1"/>
        <c:lblAlgn val="ctr"/>
        <c:lblOffset val="100"/>
        <c:noMultiLvlLbl val="0"/>
      </c:catAx>
      <c:valAx>
        <c:axId val="1806013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06012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Valor Total Investido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'Investimentos '!$I$1</c:f>
              <c:strCache>
                <c:ptCount val="1"/>
                <c:pt idx="0">
                  <c:v> Valor Investido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AEC-4F36-A4A4-0D15D34BDB8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AEC-4F36-A4A4-0D15D34BDB8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AEC-4F36-A4A4-0D15D34BDB8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AEC-4F36-A4A4-0D15D34BDB8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AEC-4F36-A4A4-0D15D34BDB8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AEC-4F36-A4A4-0D15D34BDB8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AEC-4F36-A4A4-0D15D34BDB8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AEC-4F36-A4A4-0D15D34BDB8C}"/>
              </c:ext>
            </c:extLst>
          </c:dPt>
          <c:cat>
            <c:strRef>
              <c:f>'Investimentos '!$H$2:$H$9</c:f>
              <c:strCache>
                <c:ptCount val="8"/>
                <c:pt idx="0">
                  <c:v>Renda Fixa</c:v>
                </c:pt>
                <c:pt idx="1">
                  <c:v>Ações B3</c:v>
                </c:pt>
                <c:pt idx="2">
                  <c:v>Ações Est.</c:v>
                </c:pt>
                <c:pt idx="3">
                  <c:v>Etf Nac.</c:v>
                </c:pt>
                <c:pt idx="4">
                  <c:v>Etf Est.</c:v>
                </c:pt>
                <c:pt idx="5">
                  <c:v>Fiis</c:v>
                </c:pt>
                <c:pt idx="6">
                  <c:v>Reits</c:v>
                </c:pt>
                <c:pt idx="7">
                  <c:v>Criptomoedas</c:v>
                </c:pt>
              </c:strCache>
            </c:strRef>
          </c:cat>
          <c:val>
            <c:numRef>
              <c:f>'Investimentos '!$I$2:$I$9</c:f>
              <c:numCache>
                <c:formatCode>General</c:formatCode>
                <c:ptCount val="8"/>
                <c:pt idx="0">
                  <c:v>2516.25</c:v>
                </c:pt>
                <c:pt idx="1">
                  <c:v>1352.7</c:v>
                </c:pt>
                <c:pt idx="2">
                  <c:v>1043</c:v>
                </c:pt>
                <c:pt idx="3">
                  <c:v>605</c:v>
                </c:pt>
                <c:pt idx="4">
                  <c:v>485.75</c:v>
                </c:pt>
                <c:pt idx="5">
                  <c:v>431.6</c:v>
                </c:pt>
                <c:pt idx="6">
                  <c:v>133.35000000000002</c:v>
                </c:pt>
                <c:pt idx="7">
                  <c:v>292.28999999999996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AEC-4F36-A4A4-0D15D34BDB8C}"/>
            </c:ext>
          </c:extLst>
        </c:ser>
        <c:ser>
          <c:idx val="1"/>
          <c:order val="1"/>
          <c:tx>
            <c:strRef>
              <c:f>'Investimentos '!$J$1</c:f>
              <c:strCache>
                <c:ptCount val="1"/>
                <c:pt idx="0">
                  <c:v>(% da carteira)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AAEC-4F36-A4A4-0D15D34BDB8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AAEC-4F36-A4A4-0D15D34BDB8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AAEC-4F36-A4A4-0D15D34BDB8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AAEC-4F36-A4A4-0D15D34BDB8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AAEC-4F36-A4A4-0D15D34BDB8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AEC-4F36-A4A4-0D15D34BDB8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AAEC-4F36-A4A4-0D15D34BDB8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AAEC-4F36-A4A4-0D15D34BDB8C}"/>
              </c:ext>
            </c:extLst>
          </c:dPt>
          <c:cat>
            <c:strRef>
              <c:f>'Investimentos '!$H$2:$H$9</c:f>
              <c:strCache>
                <c:ptCount val="8"/>
                <c:pt idx="0">
                  <c:v>Renda Fixa</c:v>
                </c:pt>
                <c:pt idx="1">
                  <c:v>Ações B3</c:v>
                </c:pt>
                <c:pt idx="2">
                  <c:v>Ações Est.</c:v>
                </c:pt>
                <c:pt idx="3">
                  <c:v>Etf Nac.</c:v>
                </c:pt>
                <c:pt idx="4">
                  <c:v>Etf Est.</c:v>
                </c:pt>
                <c:pt idx="5">
                  <c:v>Fiis</c:v>
                </c:pt>
                <c:pt idx="6">
                  <c:v>Reits</c:v>
                </c:pt>
                <c:pt idx="7">
                  <c:v>Criptomoedas</c:v>
                </c:pt>
              </c:strCache>
            </c:strRef>
          </c:cat>
          <c:val>
            <c:numRef>
              <c:f>'Investimentos '!$J$2:$J$9</c:f>
              <c:numCache>
                <c:formatCode>0.00%</c:formatCode>
                <c:ptCount val="8"/>
                <c:pt idx="0">
                  <c:v>0.36680349973906473</c:v>
                </c:pt>
                <c:pt idx="1">
                  <c:v>0.1971883136004105</c:v>
                </c:pt>
                <c:pt idx="2">
                  <c:v>0.15204214614121989</c:v>
                </c:pt>
                <c:pt idx="3">
                  <c:v>8.8193191194092066E-2</c:v>
                </c:pt>
                <c:pt idx="4">
                  <c:v>7.0809657227322687E-2</c:v>
                </c:pt>
                <c:pt idx="5">
                  <c:v>6.2916002180777086E-2</c:v>
                </c:pt>
                <c:pt idx="6">
                  <c:v>1.9438945530135834E-2</c:v>
                </c:pt>
                <c:pt idx="7">
                  <c:v>4.2608244386977134E-2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AAEC-4F36-A4A4-0D15D34BD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Valor Total Investido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'Investimentos '!$I$1</c:f>
              <c:strCache>
                <c:ptCount val="1"/>
                <c:pt idx="0">
                  <c:v> Valor Investido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'Investimentos '!$H$2:$H$9</c:f>
              <c:strCache>
                <c:ptCount val="8"/>
                <c:pt idx="0">
                  <c:v>Renda Fixa</c:v>
                </c:pt>
                <c:pt idx="1">
                  <c:v>Ações B3</c:v>
                </c:pt>
                <c:pt idx="2">
                  <c:v>Ações Est.</c:v>
                </c:pt>
                <c:pt idx="3">
                  <c:v>Etf Nac.</c:v>
                </c:pt>
                <c:pt idx="4">
                  <c:v>Etf Est.</c:v>
                </c:pt>
                <c:pt idx="5">
                  <c:v>Fiis</c:v>
                </c:pt>
                <c:pt idx="6">
                  <c:v>Reits</c:v>
                </c:pt>
                <c:pt idx="7">
                  <c:v>Criptomoedas</c:v>
                </c:pt>
              </c:strCache>
            </c:strRef>
          </c:cat>
          <c:val>
            <c:numRef>
              <c:f>'Investimentos '!$I$2:$I$9</c:f>
              <c:numCache>
                <c:formatCode>General</c:formatCode>
                <c:ptCount val="8"/>
                <c:pt idx="0">
                  <c:v>2516.25</c:v>
                </c:pt>
                <c:pt idx="1">
                  <c:v>1352.7</c:v>
                </c:pt>
                <c:pt idx="2">
                  <c:v>1043</c:v>
                </c:pt>
                <c:pt idx="3">
                  <c:v>605</c:v>
                </c:pt>
                <c:pt idx="4">
                  <c:v>485.75</c:v>
                </c:pt>
                <c:pt idx="5">
                  <c:v>431.6</c:v>
                </c:pt>
                <c:pt idx="6">
                  <c:v>133.35000000000002</c:v>
                </c:pt>
                <c:pt idx="7">
                  <c:v>292.28999999999996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3E-4548-8ED3-8CF9C77D57A0}"/>
            </c:ext>
          </c:extLst>
        </c:ser>
        <c:ser>
          <c:idx val="1"/>
          <c:order val="1"/>
          <c:tx>
            <c:strRef>
              <c:f>'Investimentos '!$J$1</c:f>
              <c:strCache>
                <c:ptCount val="1"/>
                <c:pt idx="0">
                  <c:v>(% da carteira)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'Investimentos '!$H$2:$H$9</c:f>
              <c:strCache>
                <c:ptCount val="8"/>
                <c:pt idx="0">
                  <c:v>Renda Fixa</c:v>
                </c:pt>
                <c:pt idx="1">
                  <c:v>Ações B3</c:v>
                </c:pt>
                <c:pt idx="2">
                  <c:v>Ações Est.</c:v>
                </c:pt>
                <c:pt idx="3">
                  <c:v>Etf Nac.</c:v>
                </c:pt>
                <c:pt idx="4">
                  <c:v>Etf Est.</c:v>
                </c:pt>
                <c:pt idx="5">
                  <c:v>Fiis</c:v>
                </c:pt>
                <c:pt idx="6">
                  <c:v>Reits</c:v>
                </c:pt>
                <c:pt idx="7">
                  <c:v>Criptomoedas</c:v>
                </c:pt>
              </c:strCache>
            </c:strRef>
          </c:cat>
          <c:val>
            <c:numRef>
              <c:f>'Investimentos '!$J$2:$J$9</c:f>
              <c:numCache>
                <c:formatCode>0.00%</c:formatCode>
                <c:ptCount val="8"/>
                <c:pt idx="0">
                  <c:v>0.36680349973906473</c:v>
                </c:pt>
                <c:pt idx="1">
                  <c:v>0.1971883136004105</c:v>
                </c:pt>
                <c:pt idx="2">
                  <c:v>0.15204214614121989</c:v>
                </c:pt>
                <c:pt idx="3">
                  <c:v>8.8193191194092066E-2</c:v>
                </c:pt>
                <c:pt idx="4">
                  <c:v>7.0809657227322687E-2</c:v>
                </c:pt>
                <c:pt idx="5">
                  <c:v>6.2916002180777086E-2</c:v>
                </c:pt>
                <c:pt idx="6">
                  <c:v>1.9438945530135834E-2</c:v>
                </c:pt>
                <c:pt idx="7">
                  <c:v>4.2608244386977134E-2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3E-4548-8ED3-8CF9C77D5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Valor Total Investido</a:t>
            </a:r>
            <a:r>
              <a:rPr lang="pt-BR" baseline="0"/>
              <a:t> no Mês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'Investimentos '!$L$2:$L$9</c:f>
              <c:strCache>
                <c:ptCount val="8"/>
                <c:pt idx="0">
                  <c:v>Renda Fixa</c:v>
                </c:pt>
                <c:pt idx="1">
                  <c:v>Ações B3</c:v>
                </c:pt>
                <c:pt idx="2">
                  <c:v>Ações Est.</c:v>
                </c:pt>
                <c:pt idx="3">
                  <c:v>Etf Nac.</c:v>
                </c:pt>
                <c:pt idx="4">
                  <c:v>Etf Est.</c:v>
                </c:pt>
                <c:pt idx="5">
                  <c:v>Fiis</c:v>
                </c:pt>
                <c:pt idx="6">
                  <c:v>Reits</c:v>
                </c:pt>
                <c:pt idx="7">
                  <c:v>Criptomoedas</c:v>
                </c:pt>
              </c:strCache>
            </c:strRef>
          </c:cat>
          <c:val>
            <c:numRef>
              <c:f>'Investimentos '!$M$2:$M$9</c:f>
              <c:numCache>
                <c:formatCode>General</c:formatCode>
                <c:ptCount val="8"/>
                <c:pt idx="0">
                  <c:v>428.25</c:v>
                </c:pt>
                <c:pt idx="1">
                  <c:v>713.7</c:v>
                </c:pt>
                <c:pt idx="2">
                  <c:v>628.1</c:v>
                </c:pt>
                <c:pt idx="3">
                  <c:v>285.5</c:v>
                </c:pt>
                <c:pt idx="4">
                  <c:v>285.5</c:v>
                </c:pt>
                <c:pt idx="5">
                  <c:v>199.85</c:v>
                </c:pt>
                <c:pt idx="6">
                  <c:v>85.65</c:v>
                </c:pt>
                <c:pt idx="7">
                  <c:v>228.39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CD-4F59-864C-F7434C46E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1357312</xdr:colOff>
      <xdr:row>4</xdr:row>
      <xdr:rowOff>19050</xdr:rowOff>
    </xdr:from>
    <xdr:to>
      <xdr:col>3</xdr:col>
      <xdr:colOff>0</xdr:colOff>
      <xdr:row>20</xdr:row>
      <xdr:rowOff>133349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98C84B-840D-29C7-ED9B-5139ACA4FC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4</xdr:row>
      <xdr:rowOff>19050</xdr:rowOff>
    </xdr:from>
    <xdr:to>
      <xdr:col>4</xdr:col>
      <xdr:colOff>981075</xdr:colOff>
      <xdr:row>20</xdr:row>
      <xdr:rowOff>152400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10FA1CB-4B1B-4573-A6F6-269BA540A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9</xdr:row>
      <xdr:rowOff>180975</xdr:rowOff>
    </xdr:from>
    <xdr:to>
      <xdr:col>10</xdr:col>
      <xdr:colOff>9525</xdr:colOff>
      <xdr:row>24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AE92C9E-8D5B-8F92-A5DC-EB33830C3D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9525</xdr:colOff>
      <xdr:row>10</xdr:row>
      <xdr:rowOff>4762</xdr:rowOff>
    </xdr:from>
    <xdr:to>
      <xdr:col>14</xdr:col>
      <xdr:colOff>9525</xdr:colOff>
      <xdr:row>24</xdr:row>
      <xdr:rowOff>80962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C6EE20D-9500-232E-FB1F-7DDB4B4806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7113-27E5-4FEE-9B3A-72131899E963}">
  <dimension ref="B1:E4"/>
  <sheetViews>
    <sheetView showGridLines="0" workbookViewId="0">
      <selection activeCell="E1" sqref="E1"/>
    </sheetView>
  </sheetViews>
  <sheetFormatPr defaultRowHeight="15" x14ac:dyDescent="0.25"/>
  <cols>
    <col min="1" max="2" width="20.42578125" bestFit="1" customWidth="1"/>
    <col min="3" max="5" width="18.28515625" bestFit="1" customWidth="1"/>
  </cols>
  <sheetData>
    <row r="1" spans="2:5" ht="23.25" x14ac:dyDescent="0.35">
      <c r="B1" s="24" t="s">
        <v>47</v>
      </c>
      <c r="C1" s="21"/>
      <c r="D1" s="22" t="s">
        <v>48</v>
      </c>
      <c r="E1" s="23">
        <v>46296</v>
      </c>
    </row>
    <row r="3" spans="2:5" x14ac:dyDescent="0.25">
      <c r="B3" s="13" t="s">
        <v>49</v>
      </c>
      <c r="C3" s="15" t="s">
        <v>50</v>
      </c>
      <c r="D3" s="17" t="s">
        <v>51</v>
      </c>
      <c r="E3" s="19" t="s">
        <v>38</v>
      </c>
    </row>
    <row r="4" spans="2:5" ht="21" x14ac:dyDescent="0.35">
      <c r="B4" s="14">
        <f>INDEX('Controle Mensal'!C12:K12, MATCH(E1, 'Controle Mensal'!C2:K2, 0))</f>
        <v>5400</v>
      </c>
      <c r="C4" s="16">
        <f>IF(MONTH(E1)=8, 'Controle Mensal'!C26, IF(MONTH(E1)=9, 'Controle Mensal'!E26, IF(MONTH(E1)=10, 'Controle Mensal'!G26, IF(MONTH(E1)=11, 'Controle Mensal'!I26, IF(MONTH(E1)=12, 'Controle Mensal'!K26, 0)))))</f>
        <v>2545</v>
      </c>
      <c r="D4" s="18">
        <f>B4-C4</f>
        <v>2855</v>
      </c>
      <c r="E4" s="20">
        <f>'Investimentos '!I10</f>
        <v>6859.9400000000005</v>
      </c>
    </row>
  </sheetData>
  <dataValidations count="1">
    <dataValidation type="list" allowBlank="1" showInputMessage="1" showErrorMessage="1" sqref="E1" xr:uid="{E2E1EDC6-8317-44E7-81DF-BCF50E5B1748}">
      <formula1>"ago/2026,set/2026,out/2026,nov/2026,dez/2026"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9E4A4-5B87-4855-B174-D247B5AA2AAB}">
  <dimension ref="A1:M28"/>
  <sheetViews>
    <sheetView topLeftCell="C10" workbookViewId="0">
      <selection activeCell="F28" sqref="F28"/>
    </sheetView>
  </sheetViews>
  <sheetFormatPr defaultRowHeight="15" x14ac:dyDescent="0.25"/>
  <cols>
    <col min="1" max="1" width="35.140625" bestFit="1" customWidth="1"/>
    <col min="2" max="2" width="20.28515625" style="2" bestFit="1" customWidth="1"/>
    <col min="3" max="3" width="12.140625" bestFit="1" customWidth="1"/>
    <col min="4" max="4" width="20.28515625" bestFit="1" customWidth="1"/>
    <col min="5" max="5" width="12.140625" bestFit="1" customWidth="1"/>
    <col min="6" max="6" width="20.28515625" bestFit="1" customWidth="1"/>
    <col min="7" max="7" width="12.140625" bestFit="1" customWidth="1"/>
    <col min="8" max="8" width="20.28515625" bestFit="1" customWidth="1"/>
    <col min="9" max="9" width="10.5703125" bestFit="1" customWidth="1"/>
    <col min="10" max="10" width="20.28515625" bestFit="1" customWidth="1"/>
    <col min="11" max="11" width="10.5703125" bestFit="1" customWidth="1"/>
  </cols>
  <sheetData>
    <row r="1" spans="1:13" x14ac:dyDescent="0.25">
      <c r="A1" s="48" t="s">
        <v>5</v>
      </c>
      <c r="B1" s="41"/>
      <c r="C1" s="49"/>
      <c r="D1" s="49"/>
      <c r="E1" s="49"/>
      <c r="F1" s="49"/>
      <c r="G1" s="49"/>
      <c r="H1" s="49"/>
      <c r="I1" s="49"/>
      <c r="J1" s="49"/>
      <c r="K1" s="49"/>
    </row>
    <row r="2" spans="1:13" x14ac:dyDescent="0.25">
      <c r="A2" s="4" t="s">
        <v>0</v>
      </c>
      <c r="B2" s="7" t="s">
        <v>1</v>
      </c>
      <c r="C2" s="8">
        <v>46235</v>
      </c>
      <c r="D2" s="7" t="s">
        <v>1</v>
      </c>
      <c r="E2" s="8">
        <v>46266</v>
      </c>
      <c r="F2" s="7" t="s">
        <v>1</v>
      </c>
      <c r="G2" s="8">
        <v>46296</v>
      </c>
      <c r="H2" s="7" t="s">
        <v>1</v>
      </c>
      <c r="I2" s="8">
        <v>46327</v>
      </c>
      <c r="J2" s="7" t="s">
        <v>1</v>
      </c>
      <c r="K2" s="8">
        <v>46357</v>
      </c>
    </row>
    <row r="3" spans="1:13" x14ac:dyDescent="0.25">
      <c r="A3" s="5" t="s">
        <v>79</v>
      </c>
      <c r="B3" s="6">
        <v>3500</v>
      </c>
      <c r="C3" s="6">
        <v>3500</v>
      </c>
      <c r="D3" s="6">
        <v>3500</v>
      </c>
      <c r="E3" s="6">
        <v>3500</v>
      </c>
      <c r="F3" s="6">
        <v>3500</v>
      </c>
      <c r="G3" s="6">
        <v>3500</v>
      </c>
      <c r="H3" s="6"/>
      <c r="I3" s="6"/>
      <c r="J3" s="6"/>
      <c r="K3" s="6"/>
    </row>
    <row r="4" spans="1:13" x14ac:dyDescent="0.25">
      <c r="A4" s="5" t="s">
        <v>60</v>
      </c>
      <c r="B4" s="6">
        <v>1000</v>
      </c>
      <c r="C4" s="6">
        <v>1000</v>
      </c>
      <c r="D4" s="6">
        <v>1200</v>
      </c>
      <c r="E4" s="6">
        <v>1200</v>
      </c>
      <c r="F4" s="6">
        <v>1100</v>
      </c>
      <c r="G4" s="6">
        <v>1100</v>
      </c>
      <c r="H4" s="6"/>
      <c r="I4" s="6"/>
      <c r="J4" s="6"/>
      <c r="K4" s="6"/>
    </row>
    <row r="5" spans="1:13" x14ac:dyDescent="0.25">
      <c r="A5" s="5" t="s">
        <v>61</v>
      </c>
      <c r="B5" s="6">
        <v>500</v>
      </c>
      <c r="C5" s="6">
        <v>500</v>
      </c>
      <c r="D5" s="6">
        <v>600</v>
      </c>
      <c r="E5" s="6">
        <v>600</v>
      </c>
      <c r="F5" s="6">
        <v>800</v>
      </c>
      <c r="G5" s="6">
        <v>800</v>
      </c>
      <c r="H5" s="6"/>
      <c r="I5" s="6"/>
      <c r="J5" s="6"/>
      <c r="K5" s="6"/>
      <c r="M5" s="3"/>
    </row>
    <row r="6" spans="1:13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M6" s="2"/>
    </row>
    <row r="7" spans="1:13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M7" s="2"/>
    </row>
    <row r="8" spans="1:13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M8" s="2"/>
    </row>
    <row r="9" spans="1:13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M9" s="2"/>
    </row>
    <row r="10" spans="1:13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M10" s="2"/>
    </row>
    <row r="11" spans="1:13" x14ac:dyDescent="0.25">
      <c r="A11" s="5" t="s">
        <v>78</v>
      </c>
      <c r="B11" s="39">
        <f>SUM(B3:B10)</f>
        <v>5000</v>
      </c>
      <c r="C11" s="46"/>
      <c r="D11" s="39">
        <f>SUM(D3:D10)</f>
        <v>5300</v>
      </c>
      <c r="E11" s="46"/>
      <c r="F11" s="39">
        <f>SUM(F3:F10)</f>
        <v>5400</v>
      </c>
      <c r="G11" s="46"/>
      <c r="H11" s="39">
        <f>SUM(H3:H10)</f>
        <v>0</v>
      </c>
      <c r="I11" s="46"/>
      <c r="J11" s="39">
        <f>SUM(J3:J10)</f>
        <v>0</v>
      </c>
      <c r="K11" s="46"/>
      <c r="M11" s="2"/>
    </row>
    <row r="12" spans="1:13" x14ac:dyDescent="0.25">
      <c r="A12" s="5" t="s">
        <v>2</v>
      </c>
      <c r="B12" s="46"/>
      <c r="C12" s="40">
        <f>SUM(C3:C11)</f>
        <v>5000</v>
      </c>
      <c r="D12" s="47"/>
      <c r="E12" s="40">
        <f>SUM(E3:E11)</f>
        <v>5300</v>
      </c>
      <c r="F12" s="47"/>
      <c r="G12" s="40">
        <f>SUM(G3:G11)</f>
        <v>5400</v>
      </c>
      <c r="H12" s="47"/>
      <c r="I12" s="40">
        <f>SUM(I3:I11)</f>
        <v>0</v>
      </c>
      <c r="J12" s="47"/>
      <c r="K12" s="40">
        <f>SUM(K3:K11)</f>
        <v>0</v>
      </c>
      <c r="M12" s="2"/>
    </row>
    <row r="13" spans="1:13" x14ac:dyDescent="0.25">
      <c r="A13" s="9"/>
      <c r="B13" s="10"/>
      <c r="C13" s="9"/>
      <c r="D13" s="9"/>
      <c r="E13" s="9"/>
      <c r="F13" s="9"/>
      <c r="G13" s="9"/>
      <c r="H13" s="9"/>
      <c r="I13" s="9"/>
      <c r="J13" s="9"/>
      <c r="K13" s="9"/>
      <c r="M13" s="2"/>
    </row>
    <row r="14" spans="1:13" x14ac:dyDescent="0.25">
      <c r="A14" s="4" t="s">
        <v>3</v>
      </c>
      <c r="B14" s="6" t="s">
        <v>4</v>
      </c>
      <c r="C14" s="55">
        <v>46235</v>
      </c>
      <c r="D14" s="6" t="s">
        <v>4</v>
      </c>
      <c r="E14" s="55">
        <v>46266</v>
      </c>
      <c r="F14" s="6" t="s">
        <v>4</v>
      </c>
      <c r="G14" s="55">
        <v>46296</v>
      </c>
      <c r="H14" s="6" t="s">
        <v>4</v>
      </c>
      <c r="I14" s="55">
        <v>46327</v>
      </c>
      <c r="J14" s="6" t="s">
        <v>4</v>
      </c>
      <c r="K14" s="55">
        <v>46357</v>
      </c>
      <c r="M14" s="2"/>
    </row>
    <row r="15" spans="1:13" x14ac:dyDescent="0.25">
      <c r="A15" s="5" t="s">
        <v>52</v>
      </c>
      <c r="B15" s="6">
        <v>150</v>
      </c>
      <c r="C15" s="6">
        <v>150</v>
      </c>
      <c r="D15" s="5"/>
      <c r="E15" s="6">
        <v>100</v>
      </c>
      <c r="F15" s="6">
        <v>80</v>
      </c>
      <c r="G15" s="6">
        <v>80</v>
      </c>
      <c r="H15" s="5"/>
      <c r="I15" s="6"/>
      <c r="J15" s="5"/>
      <c r="K15" s="6"/>
    </row>
    <row r="16" spans="1:13" x14ac:dyDescent="0.25">
      <c r="A16" s="5" t="s">
        <v>53</v>
      </c>
      <c r="B16" s="6">
        <v>250</v>
      </c>
      <c r="C16" s="6">
        <v>250</v>
      </c>
      <c r="D16" s="5"/>
      <c r="E16" s="6">
        <v>200</v>
      </c>
      <c r="F16" s="6">
        <v>180</v>
      </c>
      <c r="G16" s="6">
        <v>180</v>
      </c>
      <c r="H16" s="5"/>
      <c r="I16" s="6"/>
      <c r="J16" s="5"/>
      <c r="K16" s="6"/>
    </row>
    <row r="17" spans="1:11" x14ac:dyDescent="0.25">
      <c r="A17" s="5" t="s">
        <v>7</v>
      </c>
      <c r="B17" s="6">
        <v>120</v>
      </c>
      <c r="C17" s="6">
        <v>120</v>
      </c>
      <c r="D17" s="5"/>
      <c r="E17" s="6">
        <v>80</v>
      </c>
      <c r="F17" s="6">
        <v>80</v>
      </c>
      <c r="G17" s="6">
        <v>80</v>
      </c>
      <c r="H17" s="5"/>
      <c r="I17" s="6"/>
      <c r="J17" s="5"/>
      <c r="K17" s="6"/>
    </row>
    <row r="18" spans="1:11" x14ac:dyDescent="0.25">
      <c r="A18" s="5" t="s">
        <v>54</v>
      </c>
      <c r="B18" s="6">
        <v>1500</v>
      </c>
      <c r="C18" s="6">
        <v>1500</v>
      </c>
      <c r="D18" s="5"/>
      <c r="E18" s="6">
        <v>1250</v>
      </c>
      <c r="F18" s="6">
        <v>1250</v>
      </c>
      <c r="G18" s="6">
        <v>1100</v>
      </c>
      <c r="H18" s="5"/>
      <c r="I18" s="6"/>
      <c r="J18" s="5"/>
      <c r="K18" s="6"/>
    </row>
    <row r="19" spans="1:11" x14ac:dyDescent="0.25">
      <c r="A19" s="5" t="s">
        <v>6</v>
      </c>
      <c r="B19" s="6">
        <v>500</v>
      </c>
      <c r="C19" s="6">
        <v>500</v>
      </c>
      <c r="D19" s="5"/>
      <c r="E19" s="6">
        <v>500</v>
      </c>
      <c r="F19" s="6">
        <v>500</v>
      </c>
      <c r="G19" s="6">
        <v>450</v>
      </c>
      <c r="H19" s="5"/>
      <c r="I19" s="6"/>
      <c r="J19" s="5"/>
      <c r="K19" s="6"/>
    </row>
    <row r="20" spans="1:11" x14ac:dyDescent="0.25">
      <c r="A20" s="5" t="s">
        <v>55</v>
      </c>
      <c r="B20" s="6">
        <v>200</v>
      </c>
      <c r="C20" s="6">
        <v>200</v>
      </c>
      <c r="D20" s="5"/>
      <c r="E20" s="6">
        <v>250</v>
      </c>
      <c r="F20" s="6">
        <v>250</v>
      </c>
      <c r="G20" s="6">
        <v>250</v>
      </c>
      <c r="H20" s="5"/>
      <c r="I20" s="6"/>
      <c r="J20" s="5"/>
      <c r="K20" s="6"/>
    </row>
    <row r="21" spans="1:11" x14ac:dyDescent="0.25">
      <c r="A21" s="5" t="s">
        <v>56</v>
      </c>
      <c r="B21" s="6">
        <v>50</v>
      </c>
      <c r="C21" s="6">
        <v>50</v>
      </c>
      <c r="D21" s="5"/>
      <c r="E21" s="6">
        <v>50</v>
      </c>
      <c r="F21" s="6">
        <v>50</v>
      </c>
      <c r="G21" s="6">
        <v>50</v>
      </c>
      <c r="H21" s="5"/>
      <c r="I21" s="6"/>
      <c r="J21" s="5"/>
      <c r="K21" s="6"/>
    </row>
    <row r="22" spans="1:11" x14ac:dyDescent="0.25">
      <c r="A22" s="5" t="s">
        <v>57</v>
      </c>
      <c r="B22" s="6">
        <v>60</v>
      </c>
      <c r="C22" s="6">
        <v>60</v>
      </c>
      <c r="D22" s="5"/>
      <c r="E22" s="6">
        <v>60</v>
      </c>
      <c r="F22" s="6">
        <v>60</v>
      </c>
      <c r="G22" s="6">
        <v>60</v>
      </c>
      <c r="H22" s="5"/>
      <c r="I22" s="6"/>
      <c r="J22" s="5"/>
      <c r="K22" s="6"/>
    </row>
    <row r="23" spans="1:11" x14ac:dyDescent="0.25">
      <c r="A23" s="5" t="s">
        <v>58</v>
      </c>
      <c r="B23" s="6">
        <v>300</v>
      </c>
      <c r="C23" s="6">
        <v>300</v>
      </c>
      <c r="D23" s="5"/>
      <c r="E23" s="6">
        <v>250</v>
      </c>
      <c r="F23" s="6">
        <v>175</v>
      </c>
      <c r="G23" s="6">
        <v>175</v>
      </c>
      <c r="H23" s="5"/>
      <c r="I23" s="6"/>
      <c r="J23" s="5"/>
      <c r="K23" s="6"/>
    </row>
    <row r="24" spans="1:11" x14ac:dyDescent="0.25">
      <c r="A24" s="5" t="s">
        <v>59</v>
      </c>
      <c r="B24" s="6">
        <v>250</v>
      </c>
      <c r="C24" s="6">
        <v>250</v>
      </c>
      <c r="D24" s="5"/>
      <c r="E24" s="6">
        <v>175</v>
      </c>
      <c r="F24" s="6">
        <v>120</v>
      </c>
      <c r="G24" s="6">
        <v>120</v>
      </c>
      <c r="H24" s="5"/>
      <c r="I24" s="6"/>
      <c r="J24" s="5"/>
      <c r="K24" s="6"/>
    </row>
    <row r="25" spans="1:11" x14ac:dyDescent="0.25">
      <c r="A25" s="5"/>
      <c r="B25" s="6"/>
      <c r="C25" s="6"/>
      <c r="D25" s="5"/>
      <c r="E25" s="6"/>
      <c r="F25" s="5"/>
      <c r="G25" s="6"/>
      <c r="H25" s="5"/>
      <c r="I25" s="6"/>
      <c r="J25" s="5"/>
      <c r="K25" s="6"/>
    </row>
    <row r="26" spans="1:11" x14ac:dyDescent="0.25">
      <c r="A26" s="5" t="s">
        <v>8</v>
      </c>
      <c r="B26" s="42">
        <f>SUM(B15:B25)</f>
        <v>3380</v>
      </c>
      <c r="C26" s="43">
        <f>SUM(C15:C25)</f>
        <v>3380</v>
      </c>
      <c r="D26" s="5"/>
      <c r="E26" s="43">
        <f>SUM(E15:E25)</f>
        <v>2915</v>
      </c>
      <c r="F26" s="5"/>
      <c r="G26" s="43">
        <f>SUM(G15:G25)</f>
        <v>2545</v>
      </c>
      <c r="H26" s="5"/>
      <c r="I26" s="43">
        <f>SUM(I15:I25)</f>
        <v>0</v>
      </c>
      <c r="J26" s="5"/>
      <c r="K26" s="43">
        <f>SUM(K15:K25)</f>
        <v>0</v>
      </c>
    </row>
    <row r="27" spans="1:11" x14ac:dyDescent="0.25">
      <c r="A27" s="26"/>
      <c r="B27" s="44"/>
      <c r="C27" s="52"/>
      <c r="D27" s="53"/>
      <c r="E27" s="53"/>
      <c r="F27" s="53"/>
      <c r="G27" s="53"/>
      <c r="H27" s="53"/>
      <c r="I27" s="53"/>
      <c r="J27" s="53"/>
      <c r="K27" s="54"/>
    </row>
    <row r="28" spans="1:11" x14ac:dyDescent="0.25">
      <c r="A28" s="25" t="s">
        <v>62</v>
      </c>
      <c r="B28" s="45">
        <f>B11-B26</f>
        <v>1620</v>
      </c>
      <c r="C28" s="11"/>
      <c r="D28" s="51">
        <f>D11-E26</f>
        <v>2385</v>
      </c>
      <c r="E28" s="11"/>
      <c r="F28" s="51">
        <f>F11-G26</f>
        <v>2855</v>
      </c>
      <c r="H28" s="51">
        <f>H11-I26</f>
        <v>0</v>
      </c>
      <c r="J28" s="51">
        <f>J11-K26</f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8BD6D-CCF0-4F74-8B97-19FDCCE5A565}">
  <dimension ref="A1:R27"/>
  <sheetViews>
    <sheetView tabSelected="1" topLeftCell="J1" workbookViewId="0">
      <selection activeCell="P3" sqref="P3"/>
    </sheetView>
  </sheetViews>
  <sheetFormatPr defaultRowHeight="15" x14ac:dyDescent="0.25"/>
  <cols>
    <col min="1" max="1" width="30" bestFit="1" customWidth="1"/>
    <col min="2" max="2" width="15.7109375" bestFit="1" customWidth="1"/>
    <col min="3" max="3" width="14.28515625" style="2" bestFit="1" customWidth="1"/>
    <col min="4" max="4" width="13.28515625" style="2" bestFit="1" customWidth="1"/>
    <col min="5" max="5" width="12.140625" style="2" bestFit="1" customWidth="1"/>
    <col min="6" max="6" width="13.28515625" style="2" bestFit="1" customWidth="1"/>
    <col min="7" max="7" width="14.28515625" style="2" bestFit="1" customWidth="1"/>
    <col min="8" max="8" width="13.5703125" bestFit="1" customWidth="1"/>
    <col min="9" max="9" width="16" style="2" bestFit="1" customWidth="1"/>
    <col min="10" max="10" width="13.85546875" style="12" bestFit="1" customWidth="1"/>
    <col min="11" max="11" width="15.5703125" style="1" bestFit="1" customWidth="1"/>
    <col min="12" max="12" width="13.5703125" bestFit="1" customWidth="1"/>
    <col min="13" max="13" width="16" bestFit="1" customWidth="1"/>
    <col min="14" max="14" width="13.85546875" bestFit="1" customWidth="1"/>
    <col min="16" max="16" width="35" style="35" bestFit="1" customWidth="1"/>
    <col min="18" max="18" width="14.42578125" bestFit="1" customWidth="1"/>
  </cols>
  <sheetData>
    <row r="1" spans="1:18" x14ac:dyDescent="0.25">
      <c r="A1" t="s">
        <v>9</v>
      </c>
      <c r="B1" t="s">
        <v>10</v>
      </c>
      <c r="C1" s="3" t="s">
        <v>42</v>
      </c>
      <c r="D1" s="3" t="s">
        <v>43</v>
      </c>
      <c r="E1" s="3" t="s">
        <v>44</v>
      </c>
      <c r="F1" s="3" t="s">
        <v>45</v>
      </c>
      <c r="G1" s="3" t="s">
        <v>46</v>
      </c>
      <c r="H1" s="2" t="s">
        <v>37</v>
      </c>
      <c r="I1" s="2" t="s">
        <v>39</v>
      </c>
      <c r="J1" s="12" t="s">
        <v>40</v>
      </c>
      <c r="K1" s="28" t="s">
        <v>70</v>
      </c>
      <c r="L1" s="2" t="s">
        <v>37</v>
      </c>
      <c r="M1" s="30" t="s">
        <v>39</v>
      </c>
      <c r="N1" s="12" t="s">
        <v>40</v>
      </c>
      <c r="P1" s="34" t="s">
        <v>72</v>
      </c>
    </row>
    <row r="2" spans="1:18" x14ac:dyDescent="0.25">
      <c r="A2" t="s">
        <v>36</v>
      </c>
      <c r="B2" t="s">
        <v>11</v>
      </c>
      <c r="C2" s="2">
        <v>1134</v>
      </c>
      <c r="D2" s="2">
        <v>954</v>
      </c>
      <c r="E2" s="2">
        <v>428.25</v>
      </c>
      <c r="F2" s="2">
        <v>0</v>
      </c>
      <c r="G2" s="2">
        <v>0</v>
      </c>
      <c r="H2" t="s">
        <v>11</v>
      </c>
      <c r="I2">
        <f>SUMIF($B:$B, H2, $C:$C) + SUMIF($B:$B, H2, $D:$D) + SUMIF($B:$B, H2, $E:$E) + SUMIF($B:$B, H2, $F:$F) + SUMIF($B:$B, H2, $G:$G)</f>
        <v>2516.25</v>
      </c>
      <c r="J2" s="31">
        <f>I2/$I$10</f>
        <v>0.36680349973906473</v>
      </c>
      <c r="K2" s="29" t="s">
        <v>71</v>
      </c>
      <c r="L2" t="s">
        <v>11</v>
      </c>
      <c r="M2">
        <f>IF($K$2="Agosto", SUMIF($B$2:$B$50, L2, $C$2:$C$50), IF($K$2="Setembro", SUMIF($B$2:$B$50, L2, $D$2:$D$50), IF($K$2="Outubro", SUMIF($B$2:$B$50, L2, $E$2:$E$50), IF($K$2="Novembro", SUMIF($B$2:$B$50, L2, $F$2:$F$50), IF($K$2="Dezembro", SUMIF($B$2:$B$50, L2, $G$2:$G$50), 0)))))</f>
        <v>428.25</v>
      </c>
      <c r="N2" s="31">
        <f>IF($M$10&gt;0, M2/$M$10, 0)</f>
        <v>0.15000315243052392</v>
      </c>
      <c r="P2" s="38" t="s">
        <v>73</v>
      </c>
    </row>
    <row r="3" spans="1:18" x14ac:dyDescent="0.25">
      <c r="A3" t="s">
        <v>80</v>
      </c>
      <c r="B3" t="s">
        <v>20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t="s">
        <v>20</v>
      </c>
      <c r="I3">
        <f>SUMIF($B:$B, H3, $C:$C) + SUMIF($B:$B, H3, $D:$D) + SUMIF($B:$B, H3, $E:$E) + SUMIF($B:$B, H3, $F:$F) + SUMIF($B:$B, H3, $G:$G)</f>
        <v>1352.7</v>
      </c>
      <c r="J3" s="31">
        <f t="shared" ref="J3:J9" si="0">I3/$I$10</f>
        <v>0.1971883136004105</v>
      </c>
      <c r="K3" s="27"/>
      <c r="L3" t="s">
        <v>20</v>
      </c>
      <c r="M3">
        <f t="shared" ref="M3:M10" si="1">IF($K$2="Agosto", SUMIF($B$2:$B$50, L3, $C$2:$C$50), IF($K$2="Setembro", SUMIF($B$2:$B$50, L3, $D$2:$D$50), IF($K$2="Outubro", SUMIF($B$2:$B$50, L3, $E$2:$E$50), IF($K$2="Novembro", SUMIF($B$2:$B$50, L3, $F$2:$F$50), IF($K$2="Dezembro", SUMIF($B$2:$B$50, L3, $G$2:$G$50), 0)))))</f>
        <v>713.7</v>
      </c>
      <c r="N3" s="31">
        <f t="shared" ref="N3:N9" si="2">IF($M$10&gt;0, M3/$M$10, 0)</f>
        <v>0.24998774054796249</v>
      </c>
      <c r="P3" s="33" t="s">
        <v>77</v>
      </c>
    </row>
    <row r="4" spans="1:18" x14ac:dyDescent="0.25">
      <c r="A4" t="s">
        <v>12</v>
      </c>
      <c r="B4" t="s">
        <v>11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t="s">
        <v>22</v>
      </c>
      <c r="I4">
        <f>SUMIF($B:$B, H4, $C:$C) + SUMIF($B:$B, H4, $D:$D) + SUMIF($B:$B, H4, $E:$E) + SUMIF($B:$B, H4, $F:$F) + SUMIF($B:$B, H4, $G:$G)</f>
        <v>1043</v>
      </c>
      <c r="J4" s="31">
        <f t="shared" si="0"/>
        <v>0.15204214614121989</v>
      </c>
      <c r="K4" s="27"/>
      <c r="L4" t="s">
        <v>22</v>
      </c>
      <c r="M4">
        <f t="shared" si="1"/>
        <v>628.1</v>
      </c>
      <c r="N4" s="31">
        <f t="shared" si="2"/>
        <v>0.22000462356476844</v>
      </c>
      <c r="P4" s="37" t="s">
        <v>74</v>
      </c>
    </row>
    <row r="5" spans="1:18" x14ac:dyDescent="0.25">
      <c r="A5" t="s">
        <v>13</v>
      </c>
      <c r="B5" t="s">
        <v>11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t="s">
        <v>28</v>
      </c>
      <c r="I5">
        <f>SUMIF($B:$B, H5, $C:$C) + SUMIF($B:$B, H5, $D:$D) + SUMIF($B:$B, H5, $E:$E) + SUMIF($B:$B, H5, $F:$F) + SUMIF($B:$B, H5, $G:$G)</f>
        <v>605</v>
      </c>
      <c r="J5" s="31">
        <f t="shared" si="0"/>
        <v>8.8193191194092066E-2</v>
      </c>
      <c r="K5" s="27"/>
      <c r="L5" t="s">
        <v>28</v>
      </c>
      <c r="M5">
        <f t="shared" si="1"/>
        <v>285.5</v>
      </c>
      <c r="N5" s="31">
        <f t="shared" si="2"/>
        <v>0.10000210162034928</v>
      </c>
      <c r="P5" s="36">
        <v>2855</v>
      </c>
      <c r="Q5" s="50" t="s">
        <v>75</v>
      </c>
      <c r="R5" s="32" t="s">
        <v>76</v>
      </c>
    </row>
    <row r="6" spans="1:18" x14ac:dyDescent="0.25">
      <c r="A6" t="s">
        <v>14</v>
      </c>
      <c r="B6" t="s">
        <v>20</v>
      </c>
      <c r="C6" s="2">
        <v>81</v>
      </c>
      <c r="D6" s="2">
        <v>79.5</v>
      </c>
      <c r="E6" s="2">
        <v>118.95</v>
      </c>
      <c r="F6" s="2">
        <v>0</v>
      </c>
      <c r="G6" s="2">
        <v>0</v>
      </c>
      <c r="H6" t="s">
        <v>30</v>
      </c>
      <c r="I6">
        <f>SUMIF($B:$B, H6, $C:$C) + SUMIF($B:$B, H6, $D:$D) + SUMIF($B:$B, H6, $E:$E) + SUMIF($B:$B, H6, $F:$F) + SUMIF($B:$B, H6, $G:$G)</f>
        <v>485.75</v>
      </c>
      <c r="J6" s="31">
        <f t="shared" si="0"/>
        <v>7.0809657227322687E-2</v>
      </c>
      <c r="K6" s="27"/>
      <c r="L6" t="s">
        <v>30</v>
      </c>
      <c r="M6">
        <f t="shared" si="1"/>
        <v>285.5</v>
      </c>
      <c r="N6" s="31">
        <f t="shared" si="2"/>
        <v>0.10000210162034928</v>
      </c>
      <c r="P6" s="5" t="s">
        <v>11</v>
      </c>
      <c r="Q6" s="31">
        <f>IF($P$3="Conservador", 0.7, IF($P$3="Moderado", 0.4, IF($P$3="Arriscado", 0.15, 0)))</f>
        <v>0.7</v>
      </c>
      <c r="R6" s="2">
        <f>Q6 * $P$5</f>
        <v>1998.4999999999998</v>
      </c>
    </row>
    <row r="7" spans="1:18" x14ac:dyDescent="0.25">
      <c r="A7" t="s">
        <v>15</v>
      </c>
      <c r="B7" t="s">
        <v>20</v>
      </c>
      <c r="C7" s="2">
        <v>81</v>
      </c>
      <c r="D7" s="2">
        <v>79.5</v>
      </c>
      <c r="E7" s="2">
        <v>118.95</v>
      </c>
      <c r="F7" s="2">
        <v>0</v>
      </c>
      <c r="G7" s="2">
        <v>0</v>
      </c>
      <c r="H7" t="s">
        <v>33</v>
      </c>
      <c r="I7">
        <f>SUMIF($B:$B, H7, $C:$C) + SUMIF($B:$B, H7, $D:$D) + SUMIF($B:$B, H7, $E:$E) + SUMIF($B:$B, H7, $F:$F) + SUMIF($B:$B, H7, $G:$G)</f>
        <v>431.6</v>
      </c>
      <c r="J7" s="31">
        <f t="shared" si="0"/>
        <v>6.2916002180777086E-2</v>
      </c>
      <c r="K7" s="27"/>
      <c r="L7" t="s">
        <v>33</v>
      </c>
      <c r="M7">
        <f t="shared" si="1"/>
        <v>199.85</v>
      </c>
      <c r="N7" s="31">
        <f t="shared" si="2"/>
        <v>7.00014711342445E-2</v>
      </c>
      <c r="P7" s="5" t="s">
        <v>20</v>
      </c>
      <c r="Q7" s="31">
        <f>IF($P$3="Conservador", 0.1, IF($P$3="Moderado", 0.2, IF($P$3="Arriscado", 0.25, 0)))</f>
        <v>0.1</v>
      </c>
      <c r="R7" s="2">
        <f t="shared" ref="R7:R13" si="3">Q7 * $P$5</f>
        <v>285.5</v>
      </c>
    </row>
    <row r="8" spans="1:18" x14ac:dyDescent="0.25">
      <c r="A8" t="s">
        <v>16</v>
      </c>
      <c r="B8" t="s">
        <v>20</v>
      </c>
      <c r="C8" s="2">
        <v>0</v>
      </c>
      <c r="D8" s="2">
        <v>79.5</v>
      </c>
      <c r="E8" s="2">
        <v>118.95</v>
      </c>
      <c r="F8" s="2">
        <v>0</v>
      </c>
      <c r="G8" s="2">
        <v>0</v>
      </c>
      <c r="H8" t="s">
        <v>35</v>
      </c>
      <c r="I8">
        <f>SUMIF($B:$B, H8, $C:$C) + SUMIF($B:$B, H8, $D:$D) + SUMIF($B:$B, H8, $E:$E) + SUMIF($B:$B, H8, $F:$F) + SUMIF($B:$B, H8, $G:$G)</f>
        <v>133.35000000000002</v>
      </c>
      <c r="J8" s="31">
        <f t="shared" si="0"/>
        <v>1.9438945530135834E-2</v>
      </c>
      <c r="K8" s="27"/>
      <c r="L8" t="s">
        <v>35</v>
      </c>
      <c r="M8">
        <f t="shared" si="1"/>
        <v>85.65</v>
      </c>
      <c r="N8" s="31">
        <f t="shared" si="2"/>
        <v>3.0000630486104789E-2</v>
      </c>
      <c r="P8" s="5" t="s">
        <v>22</v>
      </c>
      <c r="Q8" s="31">
        <f>IF($P$3="Conservador", 0.05, IF($P$3="Moderado", 0.14, IF($P$3="Arriscado", 0.22, 0)))</f>
        <v>0.05</v>
      </c>
      <c r="R8" s="2">
        <f t="shared" si="3"/>
        <v>142.75</v>
      </c>
    </row>
    <row r="9" spans="1:18" x14ac:dyDescent="0.25">
      <c r="A9" t="s">
        <v>67</v>
      </c>
      <c r="B9" t="s">
        <v>30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t="s">
        <v>66</v>
      </c>
      <c r="I9">
        <f>SUMIF($B:$B, H9, $C:$C) + SUMIF($B:$B, H9, $D:$D) + SUMIF($B:$B, H9, $E:$E) + SUMIF($B:$B, H9, $F:$F) + SUMIF($B:$B, H9, $G:$G)</f>
        <v>292.28999999999996</v>
      </c>
      <c r="J9" s="31">
        <f t="shared" si="0"/>
        <v>4.2608244386977134E-2</v>
      </c>
      <c r="K9" s="27"/>
      <c r="L9" t="s">
        <v>66</v>
      </c>
      <c r="M9">
        <f t="shared" si="1"/>
        <v>228.39</v>
      </c>
      <c r="N9" s="31">
        <f t="shared" si="2"/>
        <v>7.9998178595697272E-2</v>
      </c>
      <c r="P9" s="5" t="s">
        <v>28</v>
      </c>
      <c r="Q9" s="31">
        <f>IF($P$3="Conservador", 0.05, IF($P$3="Moderado", 0.1, IF($P$3="Arriscado", 0.1, 0)))</f>
        <v>0.05</v>
      </c>
      <c r="R9" s="2">
        <f t="shared" si="3"/>
        <v>142.75</v>
      </c>
    </row>
    <row r="10" spans="1:18" x14ac:dyDescent="0.25">
      <c r="A10" t="s">
        <v>17</v>
      </c>
      <c r="B10" t="s">
        <v>20</v>
      </c>
      <c r="C10" s="2">
        <v>0</v>
      </c>
      <c r="D10" s="2">
        <v>79.5</v>
      </c>
      <c r="E10" s="2">
        <v>118.95</v>
      </c>
      <c r="F10" s="2">
        <v>0</v>
      </c>
      <c r="G10" s="2">
        <v>0</v>
      </c>
      <c r="H10" t="s">
        <v>41</v>
      </c>
      <c r="I10" s="2">
        <f>SUM(I2:I9)</f>
        <v>6859.9400000000005</v>
      </c>
      <c r="K10" s="27"/>
      <c r="L10" t="s">
        <v>41</v>
      </c>
      <c r="M10">
        <f>SUM(M2:M9)</f>
        <v>2854.94</v>
      </c>
      <c r="P10" s="5" t="s">
        <v>30</v>
      </c>
      <c r="Q10" s="31">
        <f>IF($P$3="Conservador", 0.05, IF($P$3="Moderado", 0.05, IF($P$3="Arriscado", 0.1, 0)))</f>
        <v>0.05</v>
      </c>
      <c r="R10" s="2">
        <f t="shared" si="3"/>
        <v>142.75</v>
      </c>
    </row>
    <row r="11" spans="1:18" x14ac:dyDescent="0.25">
      <c r="A11" t="s">
        <v>18</v>
      </c>
      <c r="B11" t="s">
        <v>20</v>
      </c>
      <c r="C11" s="2">
        <v>0</v>
      </c>
      <c r="D11" s="2">
        <v>79.5</v>
      </c>
      <c r="E11" s="2">
        <v>118.95</v>
      </c>
      <c r="F11" s="2">
        <v>0</v>
      </c>
      <c r="G11" s="2">
        <v>0</v>
      </c>
      <c r="K11" s="27"/>
      <c r="P11" s="5" t="s">
        <v>33</v>
      </c>
      <c r="Q11" s="31">
        <f>IF($P$3="Conservador", 0.04, IF($P$3="Moderado", 0.07, IF($P$3="Arriscado", 0.07, 0)))</f>
        <v>0.04</v>
      </c>
      <c r="R11" s="2">
        <f t="shared" si="3"/>
        <v>114.2</v>
      </c>
    </row>
    <row r="12" spans="1:18" x14ac:dyDescent="0.25">
      <c r="A12" t="s">
        <v>19</v>
      </c>
      <c r="B12" t="s">
        <v>20</v>
      </c>
      <c r="C12" s="2">
        <v>0</v>
      </c>
      <c r="D12" s="2">
        <v>79.5</v>
      </c>
      <c r="E12" s="2">
        <v>118.95</v>
      </c>
      <c r="F12" s="2">
        <v>0</v>
      </c>
      <c r="G12" s="2">
        <v>0</v>
      </c>
      <c r="P12" s="5" t="s">
        <v>35</v>
      </c>
      <c r="Q12" s="31">
        <f>IF($P$3="Conservador", 0, IF($P$3="Moderado", 0.02, IF($P$3="Arriscado", 0.03, 0)))</f>
        <v>0</v>
      </c>
      <c r="R12" s="2">
        <f t="shared" si="3"/>
        <v>0</v>
      </c>
    </row>
    <row r="13" spans="1:18" x14ac:dyDescent="0.25">
      <c r="A13" t="s">
        <v>21</v>
      </c>
      <c r="B13" t="s">
        <v>22</v>
      </c>
      <c r="C13" s="2">
        <v>20.25</v>
      </c>
      <c r="D13" s="2">
        <v>66.78</v>
      </c>
      <c r="E13" s="2">
        <v>125.62</v>
      </c>
      <c r="F13" s="2">
        <v>0</v>
      </c>
      <c r="G13" s="2">
        <v>0</v>
      </c>
      <c r="P13" s="5" t="s">
        <v>66</v>
      </c>
      <c r="Q13" s="31">
        <f>IF($P$3="Conservador", 0.01, IF($P$3="Moderado", 0.02, IF($P$3="Arriscado", 0.08, 0)))</f>
        <v>0.01</v>
      </c>
      <c r="R13" s="2">
        <f t="shared" si="3"/>
        <v>28.55</v>
      </c>
    </row>
    <row r="14" spans="1:18" x14ac:dyDescent="0.25">
      <c r="A14" t="s">
        <v>23</v>
      </c>
      <c r="B14" t="s">
        <v>22</v>
      </c>
      <c r="C14" s="2">
        <v>20.25</v>
      </c>
      <c r="D14" s="2">
        <v>66.78</v>
      </c>
      <c r="E14" s="2">
        <v>125.62</v>
      </c>
      <c r="F14" s="2">
        <v>0</v>
      </c>
      <c r="G14" s="2">
        <v>0</v>
      </c>
    </row>
    <row r="15" spans="1:18" x14ac:dyDescent="0.25">
      <c r="A15" t="s">
        <v>24</v>
      </c>
      <c r="B15" t="s">
        <v>22</v>
      </c>
      <c r="C15" s="2">
        <v>20.25</v>
      </c>
      <c r="D15" s="2">
        <v>66.78</v>
      </c>
      <c r="E15" s="2">
        <v>125.62</v>
      </c>
      <c r="F15" s="2">
        <v>0</v>
      </c>
      <c r="G15" s="2">
        <v>0</v>
      </c>
    </row>
    <row r="16" spans="1:18" x14ac:dyDescent="0.25">
      <c r="A16" t="s">
        <v>25</v>
      </c>
      <c r="B16" t="s">
        <v>22</v>
      </c>
      <c r="C16" s="2">
        <v>20.25</v>
      </c>
      <c r="D16" s="2">
        <v>66.78</v>
      </c>
      <c r="E16" s="2">
        <v>125.62</v>
      </c>
      <c r="F16" s="2">
        <v>0</v>
      </c>
      <c r="G16" s="2">
        <v>0</v>
      </c>
    </row>
    <row r="17" spans="1:7" x14ac:dyDescent="0.25">
      <c r="A17" t="s">
        <v>26</v>
      </c>
      <c r="B17" t="s">
        <v>22</v>
      </c>
      <c r="C17" s="2">
        <v>0</v>
      </c>
      <c r="D17" s="2">
        <v>66.78</v>
      </c>
      <c r="E17" s="2">
        <v>125.62</v>
      </c>
      <c r="F17" s="2">
        <v>0</v>
      </c>
      <c r="G17" s="2">
        <v>0</v>
      </c>
    </row>
    <row r="18" spans="1:7" x14ac:dyDescent="0.25">
      <c r="A18" t="s">
        <v>27</v>
      </c>
      <c r="B18" t="s">
        <v>28</v>
      </c>
      <c r="C18" s="2">
        <v>81</v>
      </c>
      <c r="D18" s="2">
        <v>238.5</v>
      </c>
      <c r="E18" s="2">
        <v>285.5</v>
      </c>
      <c r="F18" s="2">
        <v>0</v>
      </c>
      <c r="G18" s="2">
        <v>0</v>
      </c>
    </row>
    <row r="19" spans="1:7" x14ac:dyDescent="0.25">
      <c r="A19" t="s">
        <v>29</v>
      </c>
      <c r="B19" t="s">
        <v>30</v>
      </c>
      <c r="C19" s="2">
        <v>81</v>
      </c>
      <c r="D19" s="2">
        <v>119.25</v>
      </c>
      <c r="E19" s="2">
        <v>285.5</v>
      </c>
      <c r="F19" s="2">
        <v>0</v>
      </c>
      <c r="G19" s="2">
        <v>0</v>
      </c>
    </row>
    <row r="20" spans="1:7" x14ac:dyDescent="0.25">
      <c r="A20" t="s">
        <v>32</v>
      </c>
      <c r="B20" t="s">
        <v>33</v>
      </c>
      <c r="C20" s="2">
        <v>64.8</v>
      </c>
      <c r="E20" s="2">
        <v>199.85</v>
      </c>
      <c r="F20" s="2">
        <v>0</v>
      </c>
      <c r="G20" s="2">
        <v>0</v>
      </c>
    </row>
    <row r="21" spans="1:7" x14ac:dyDescent="0.25">
      <c r="A21" t="s">
        <v>34</v>
      </c>
      <c r="B21" t="s">
        <v>35</v>
      </c>
      <c r="C21" s="2">
        <v>0</v>
      </c>
      <c r="D21" s="2">
        <v>47.7</v>
      </c>
      <c r="E21" s="2">
        <v>85.65</v>
      </c>
      <c r="F21" s="2">
        <v>0</v>
      </c>
      <c r="G21" s="2">
        <v>0</v>
      </c>
    </row>
    <row r="22" spans="1:7" x14ac:dyDescent="0.25">
      <c r="A22" t="s">
        <v>63</v>
      </c>
      <c r="B22" t="s">
        <v>66</v>
      </c>
      <c r="C22" s="2">
        <v>16.2</v>
      </c>
      <c r="D22" s="2">
        <v>15.9</v>
      </c>
      <c r="E22" s="2">
        <v>76.13</v>
      </c>
      <c r="F22" s="2">
        <v>0</v>
      </c>
      <c r="G22" s="2">
        <v>0</v>
      </c>
    </row>
    <row r="23" spans="1:7" x14ac:dyDescent="0.25">
      <c r="A23" t="s">
        <v>64</v>
      </c>
      <c r="B23" t="s">
        <v>66</v>
      </c>
      <c r="C23" s="2">
        <v>0</v>
      </c>
      <c r="D23" s="2">
        <v>15.9</v>
      </c>
      <c r="E23" s="2">
        <v>76.13</v>
      </c>
      <c r="F23" s="2">
        <v>0</v>
      </c>
      <c r="G23" s="2">
        <v>0</v>
      </c>
    </row>
    <row r="24" spans="1:7" x14ac:dyDescent="0.25">
      <c r="A24" t="s">
        <v>65</v>
      </c>
      <c r="B24" t="s">
        <v>66</v>
      </c>
      <c r="C24" s="2">
        <v>0</v>
      </c>
      <c r="D24" s="2">
        <v>15.9</v>
      </c>
      <c r="E24" s="2">
        <v>76.13</v>
      </c>
      <c r="F24" s="2">
        <v>0</v>
      </c>
      <c r="G24" s="2">
        <v>0</v>
      </c>
    </row>
    <row r="25" spans="1:7" x14ac:dyDescent="0.25">
      <c r="A25" t="s">
        <v>68</v>
      </c>
      <c r="B25" t="s">
        <v>11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x14ac:dyDescent="0.25">
      <c r="A26" t="s">
        <v>69</v>
      </c>
      <c r="B26" t="s">
        <v>11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x14ac:dyDescent="0.25">
      <c r="A27" t="s">
        <v>31</v>
      </c>
      <c r="B27" t="s">
        <v>33</v>
      </c>
      <c r="C27" s="2">
        <v>0</v>
      </c>
      <c r="D27" s="2">
        <v>166.95</v>
      </c>
    </row>
  </sheetData>
  <phoneticPr fontId="4" type="noConversion"/>
  <dataValidations count="4">
    <dataValidation type="list" allowBlank="1" showInputMessage="1" showErrorMessage="1" sqref="B25:B51" xr:uid="{77C107FA-0F4D-4172-A99D-996B28CCE2F4}">
      <formula1>"Renda Fixa, Ações B3, Ações Est., Etf Nac., Etf Est., Fiis, Reits,"</formula1>
    </dataValidation>
    <dataValidation type="list" allowBlank="1" showInputMessage="1" showErrorMessage="1" sqref="B2:B24" xr:uid="{54332E69-6C21-4887-A7A7-07F6C404A872}">
      <formula1>"Renda Fixa, Ações B3, Ações Est., Etf Nac., Etf Est., Fiis, Reits,Criptomoedas,"</formula1>
    </dataValidation>
    <dataValidation type="list" allowBlank="1" showInputMessage="1" showErrorMessage="1" sqref="K2" xr:uid="{6E711A27-0D85-4F1C-BFBA-C38B82D80C1D}">
      <formula1>"Agosto,Setembro,Outubro,Novembro,Dezembro,"</formula1>
    </dataValidation>
    <dataValidation type="list" allowBlank="1" showInputMessage="1" showErrorMessage="1" sqref="P3" xr:uid="{3C4083A5-0E05-44A2-8894-4B443AF85C25}">
      <formula1>"Conservador,Moderado,Arriscado"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Dashboard</vt:lpstr>
      <vt:lpstr>Controle Mensal</vt:lpstr>
      <vt:lpstr>Investimentos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diogo nascimento</dc:creator>
  <cp:lastModifiedBy>diogo nascimento</cp:lastModifiedBy>
  <dcterms:created xsi:type="dcterms:W3CDTF">2026-08-03T16:43:11Z</dcterms:created>
  <dcterms:modified xsi:type="dcterms:W3CDTF">2026-08-04T16:30:57Z</dcterms:modified>
</cp:coreProperties>
</file>